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calcPr calcId="162913"/>
</workbook>
</file>

<file path=xl/calcChain.xml><?xml version="1.0" encoding="utf-8"?>
<calcChain xmlns="http://schemas.openxmlformats.org/spreadsheetml/2006/main">
  <c r="I24" i="1" l="1"/>
  <c r="J48" i="1"/>
  <c r="J46" i="1"/>
  <c r="J45" i="1"/>
  <c r="I13" i="1"/>
  <c r="H13" i="1"/>
  <c r="I12" i="1"/>
  <c r="H12" i="1"/>
  <c r="I7" i="1"/>
  <c r="H7" i="1"/>
  <c r="B8" i="3"/>
  <c r="C6" i="1"/>
  <c r="B6" i="1"/>
  <c r="C7" i="1"/>
  <c r="B7" i="1"/>
  <c r="C19" i="1"/>
  <c r="B19" i="1"/>
  <c r="K41" i="1"/>
  <c r="K40" i="1"/>
  <c r="K39" i="1"/>
  <c r="H35" i="1"/>
  <c r="I35" i="1"/>
  <c r="J35" i="1" s="1"/>
  <c r="I33" i="1"/>
  <c r="H33" i="1"/>
  <c r="I41" i="1"/>
  <c r="I39" i="1"/>
  <c r="J39" i="1" s="1"/>
  <c r="J41" i="1"/>
  <c r="J33" i="1"/>
  <c r="H41" i="1"/>
  <c r="H39" i="1"/>
  <c r="I40" i="1"/>
  <c r="H40" i="1"/>
  <c r="I38" i="1"/>
  <c r="H38" i="1"/>
  <c r="I34" i="1"/>
  <c r="H34" i="1"/>
  <c r="I32" i="1"/>
  <c r="H32" i="1"/>
  <c r="C32" i="1"/>
  <c r="B32" i="1"/>
  <c r="C38" i="1"/>
  <c r="B38" i="1"/>
  <c r="C37" i="1"/>
  <c r="B37" i="1"/>
  <c r="D40" i="1" l="1"/>
  <c r="E40" i="1" s="1"/>
  <c r="C24" i="1" l="1"/>
  <c r="D22" i="1" l="1"/>
  <c r="E22" i="1" s="1"/>
  <c r="D23" i="1" l="1"/>
  <c r="B24" i="1"/>
  <c r="B3" i="3" l="1"/>
  <c r="C3" i="3"/>
  <c r="C8" i="3"/>
  <c r="J26" i="1"/>
  <c r="D25" i="1"/>
  <c r="E25" i="1" s="1"/>
  <c r="B27" i="1" l="1"/>
  <c r="B4" i="3" s="1"/>
  <c r="D26" i="1"/>
  <c r="H24" i="1"/>
  <c r="E6" i="3" s="1"/>
  <c r="K44" i="1" l="1"/>
  <c r="F8" i="3"/>
  <c r="F3" i="3"/>
  <c r="I27" i="1"/>
  <c r="F4" i="3" s="1"/>
  <c r="J44" i="1"/>
  <c r="E8" i="3"/>
  <c r="E3" i="3"/>
  <c r="H27" i="1"/>
  <c r="D35" i="1"/>
  <c r="E35" i="1" s="1"/>
  <c r="D34" i="1"/>
  <c r="E34" i="1" s="1"/>
  <c r="D33" i="1"/>
  <c r="E33" i="1" s="1"/>
  <c r="D32" i="1"/>
  <c r="E32" i="1" s="1"/>
  <c r="E4" i="3" l="1"/>
  <c r="J47" i="1"/>
  <c r="C36" i="1"/>
  <c r="F6" i="3" s="1"/>
  <c r="B36" i="1"/>
  <c r="D21" i="1" l="1"/>
  <c r="E21" i="1" s="1"/>
  <c r="J32" i="1" l="1"/>
  <c r="K32" i="1" s="1"/>
  <c r="K33" i="1"/>
  <c r="J34" i="1"/>
  <c r="K34" i="1" s="1"/>
  <c r="K35" i="1"/>
  <c r="J12" i="1" l="1"/>
  <c r="K12" i="1" s="1"/>
  <c r="D41" i="1"/>
  <c r="E41" i="1" s="1"/>
  <c r="D39" i="1"/>
  <c r="E39" i="1" s="1"/>
  <c r="D38" i="1"/>
  <c r="E38" i="1" s="1"/>
  <c r="J27" i="1"/>
  <c r="K27" i="1" s="1"/>
  <c r="J25" i="1"/>
  <c r="K25" i="1" s="1"/>
  <c r="J18" i="1"/>
  <c r="K18" i="1" s="1"/>
  <c r="K46" i="1"/>
  <c r="D20" i="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<sst xmlns="http://schemas.openxmlformats.org/spreadsheetml/2006/main" count="133" uniqueCount="95">
  <si>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</si>
  <si>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</si>
  <si>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</si>
  <si>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</si>
  <si>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</si>
  <si>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</si>
  <si>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</si>
  <si>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</si>
  <si>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</si>
  <si>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</si>
  <si>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</si>
  <si>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</si>
  <si>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</si>
  <si>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</si>
  <si>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</si>
  <si>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</si>
  <si>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</si>
  <si>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</si>
  <si>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</si>
  <si>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</si>
  <si>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</si>
  <si>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</si>
  <si>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</si>
  <si>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</si>
  <si>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</si>
  <si>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</si>
  <si>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</si>
  <si>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</si>
  <si>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</si>
  <si>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</si>
  <si>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</si>
  <si>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</si>
  <si>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</si>
  <si>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</si>
  <si>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</si>
  <si>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</si>
  <si>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</si>
  <si>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</si>
  <si>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</si>
  <si>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</si>
  <si>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</si>
  <si>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</si>
  <si>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</si>
  <si>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</si>
  <si>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</si>
  <si>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</si>
  <si>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</si>
  <si>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</si>
  <si>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</si>
  <si>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</si>
  <si>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r>
      <t>Undistributed Grad</t>
    </r>
    <r>
      <rPr>
        <vertAlign val="superscript"/>
        <sz val="11"/>
        <rFont val="Calibri"/>
        <family val="2"/>
      </rPr>
      <t>^</t>
    </r>
  </si>
  <si>
    <t>Health &amp; Human Sci *</t>
  </si>
  <si>
    <t>IN Total**</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</si>
  <si>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</si>
  <si>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</si>
  <si>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</si>
  <si>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</si>
  <si>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</si>
  <si>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</si>
  <si>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</si>
  <si>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</si>
  <si>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</si>
  <si>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</si>
  <si>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</si>
  <si>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</si>
  <si>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</si>
  <si>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</si>
  <si>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</si>
  <si>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</si>
  <si>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</si>
  <si>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</si>
  <si>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</si>
  <si>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</si>
  <si>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</si>
  <si>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Office of Institutional Research and Decision Support 7/16/2018</t>
  </si>
  <si>
    <t>7/17/2017</t>
  </si>
  <si>
    <t>7/16/2018</t>
  </si>
  <si>
    <t>+14 ug; +68 grad/prof</t>
  </si>
  <si>
    <t>+14 ug; -18 grad; +0 non-degree</t>
  </si>
  <si>
    <t>-44 ug; -27 grad; -2 non-degree</t>
  </si>
  <si>
    <t>-35 ug; +0 grad</t>
  </si>
  <si>
    <t>-37 ug; +25 grad; -1 non-degree</t>
  </si>
  <si>
    <t>+206 grad/prof</t>
  </si>
  <si>
    <t xml:space="preserve">-4 ug; +408 grad/prof; -1 non-degree </t>
  </si>
  <si>
    <t>-20 ug; -18 grad; +5 non-degree</t>
  </si>
  <si>
    <t>+22 ug; +61 grad; +3 non-degree</t>
  </si>
  <si>
    <t>-148 ug; -26 grad; +6 non-degree</t>
  </si>
  <si>
    <t>+8 ug; +68 grad/prof; +5 non-degree</t>
  </si>
  <si>
    <t>-4 ug; +32 grad</t>
  </si>
  <si>
    <t>+63 ug; -8 grad; +19 non-degree</t>
  </si>
  <si>
    <t>+31 ug; +11 grad</t>
  </si>
  <si>
    <t>-326 ug; -12 hs; -58 non-degree</t>
  </si>
  <si>
    <t>+7 non-degree</t>
  </si>
  <si>
    <t>-13 ug; -316 grad/prof</t>
  </si>
  <si>
    <t>-15 ug; +38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</si>
</sst>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4"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vertAlign val="superscript"/>
      <sz val="11"/>
      <name val="Calibri"/>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s>
  <cellStyleXfs count="3">
    <xf numFmtId="0" fontId="0" fillId="0" borderId="0"/>
    <xf numFmtId="0" fontId="11" fillId="0" borderId="0"/>
    <xf numFmtId="0" fontId="12" fillId="0" borderId="0"/>
  </cellStyleXfs>
  <cellXfs count="213">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3"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4" fillId="0" borderId="0" xfId="0" applyNumberFormat="1" applyFont="1" applyFill="1" applyBorder="1" applyAlignment="1">
      <alignment horizontal="center" wrapText="1"/>
    </xf>
    <xf numFmtId="3" fontId="0" fillId="0" borderId="0" xfId="0" applyNumberFormat="1" applyAlignment="1">
      <alignment horizontal="center"/>
    </xf>
    <xf numFmtId="164" fontId="15" fillId="0" borderId="1" xfId="0" applyNumberFormat="1" applyFont="1" applyBorder="1" applyAlignment="1">
      <alignment horizontal="center"/>
    </xf>
    <xf numFmtId="164" fontId="15"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5" fillId="0" borderId="4" xfId="0" applyFont="1"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49" fontId="17" fillId="2" borderId="7" xfId="0" applyNumberFormat="1" applyFont="1" applyFill="1" applyBorder="1" applyAlignment="1">
      <alignment vertical="top" wrapText="1"/>
    </xf>
    <xf numFmtId="49" fontId="18" fillId="3" borderId="8" xfId="0" applyNumberFormat="1" applyFont="1" applyFill="1" applyBorder="1" applyAlignment="1">
      <alignment horizontal="center"/>
    </xf>
    <xf numFmtId="164" fontId="12" fillId="2" borderId="0" xfId="0" applyNumberFormat="1" applyFont="1" applyFill="1" applyBorder="1" applyAlignment="1">
      <alignment horizontal="right" vertical="center" wrapText="1"/>
    </xf>
    <xf numFmtId="0" fontId="15" fillId="0" borderId="4" xfId="0" applyFont="1" applyFill="1" applyBorder="1" applyAlignment="1">
      <alignment vertical="center"/>
    </xf>
    <xf numFmtId="0" fontId="15" fillId="2" borderId="4" xfId="0" applyFont="1" applyFill="1" applyBorder="1" applyAlignment="1">
      <alignment vertical="center"/>
    </xf>
    <xf numFmtId="0" fontId="15" fillId="2" borderId="0" xfId="0" applyFont="1" applyFill="1" applyBorder="1"/>
    <xf numFmtId="0" fontId="15" fillId="2" borderId="0" xfId="0" applyFont="1" applyFill="1" applyBorder="1" applyAlignment="1">
      <alignment vertical="center"/>
    </xf>
    <xf numFmtId="0" fontId="0" fillId="2" borderId="0" xfId="0" applyFill="1" applyBorder="1" applyAlignment="1">
      <alignment vertical="center"/>
    </xf>
    <xf numFmtId="164" fontId="19"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1" fillId="0" borderId="0" xfId="0" applyFont="1"/>
    <xf numFmtId="164" fontId="15" fillId="0" borderId="11" xfId="0" applyNumberFormat="1" applyFont="1" applyBorder="1" applyAlignment="1">
      <alignment horizontal="center"/>
    </xf>
    <xf numFmtId="164" fontId="15" fillId="0" borderId="12" xfId="0" applyNumberFormat="1" applyFont="1" applyBorder="1" applyAlignment="1">
      <alignment horizontal="center"/>
    </xf>
    <xf numFmtId="49" fontId="22" fillId="2" borderId="7" xfId="0" applyNumberFormat="1" applyFont="1" applyFill="1" applyBorder="1" applyAlignment="1">
      <alignment vertical="top" wrapText="1"/>
    </xf>
    <xf numFmtId="0" fontId="18" fillId="2" borderId="4" xfId="0" applyFont="1" applyFill="1" applyBorder="1"/>
    <xf numFmtId="0" fontId="18" fillId="5" borderId="13" xfId="0" applyFont="1" applyFill="1" applyBorder="1"/>
    <xf numFmtId="0" fontId="15" fillId="0" borderId="4" xfId="0" applyFont="1" applyBorder="1" applyAlignment="1">
      <alignment vertical="center"/>
    </xf>
    <xf numFmtId="0" fontId="18" fillId="3" borderId="4" xfId="0" applyFont="1" applyFill="1" applyBorder="1" applyAlignment="1">
      <alignment vertical="center"/>
    </xf>
    <xf numFmtId="3" fontId="23" fillId="2" borderId="3" xfId="0" applyNumberFormat="1" applyFont="1" applyFill="1" applyBorder="1" applyAlignment="1">
      <alignment horizontal="center" wrapText="1"/>
    </xf>
    <xf numFmtId="3" fontId="23" fillId="2" borderId="14" xfId="0" applyNumberFormat="1" applyFont="1" applyFill="1" applyBorder="1" applyAlignment="1">
      <alignment horizontal="center" wrapText="1"/>
    </xf>
    <xf numFmtId="0" fontId="15" fillId="0" borderId="16" xfId="0" applyFont="1" applyBorder="1"/>
    <xf numFmtId="0" fontId="18" fillId="0" borderId="4" xfId="0" applyFont="1" applyBorder="1"/>
    <xf numFmtId="0" fontId="18" fillId="0" borderId="13" xfId="0" applyFont="1" applyBorder="1"/>
    <xf numFmtId="0" fontId="2" fillId="0" borderId="0" xfId="0" applyFont="1"/>
    <xf numFmtId="0" fontId="15" fillId="0" borderId="4" xfId="0" applyFont="1" applyBorder="1" applyAlignment="1">
      <alignment horizontal="left" vertical="center" wrapText="1"/>
    </xf>
    <xf numFmtId="0" fontId="25" fillId="3" borderId="4" xfId="0" applyFont="1" applyFill="1" applyBorder="1" applyAlignment="1">
      <alignment horizontal="left" vertical="center" wrapText="1"/>
    </xf>
    <xf numFmtId="0" fontId="15" fillId="0" borderId="13" xfId="0" applyFont="1" applyBorder="1" applyAlignment="1">
      <alignment horizontal="left" vertical="center" wrapText="1"/>
    </xf>
    <xf numFmtId="3" fontId="12" fillId="4" borderId="9" xfId="0" applyNumberFormat="1" applyFont="1" applyFill="1" applyBorder="1" applyAlignment="1">
      <alignment horizontal="center" vertical="center" wrapText="1" readingOrder="1"/>
    </xf>
    <xf numFmtId="0" fontId="15" fillId="2" borderId="0" xfId="0" applyFont="1" applyFill="1"/>
    <xf numFmtId="0" fontId="15" fillId="0" borderId="16" xfId="0" applyFont="1" applyBorder="1" applyAlignment="1">
      <alignment vertical="center"/>
    </xf>
    <xf numFmtId="0" fontId="18" fillId="0" borderId="4" xfId="0" applyFont="1" applyBorder="1" applyAlignment="1">
      <alignment vertical="center"/>
    </xf>
    <xf numFmtId="0" fontId="18" fillId="0" borderId="13" xfId="0" applyFont="1" applyBorder="1" applyAlignment="1">
      <alignment vertical="center"/>
    </xf>
    <xf numFmtId="166" fontId="26" fillId="3" borderId="24" xfId="0" applyNumberFormat="1" applyFont="1" applyFill="1" applyBorder="1" applyAlignment="1">
      <alignment horizontal="center" vertical="center" wrapText="1" readingOrder="1"/>
    </xf>
    <xf numFmtId="166" fontId="12" fillId="0" borderId="24" xfId="0" applyNumberFormat="1" applyFont="1" applyFill="1" applyBorder="1" applyAlignment="1">
      <alignment horizontal="center" vertical="center" wrapText="1" readingOrder="1"/>
    </xf>
    <xf numFmtId="0" fontId="15" fillId="0" borderId="16" xfId="0" applyFont="1" applyFill="1" applyBorder="1"/>
    <xf numFmtId="0" fontId="18" fillId="3" borderId="17" xfId="0" applyFont="1" applyFill="1" applyBorder="1"/>
    <xf numFmtId="49" fontId="18" fillId="3" borderId="18" xfId="0" applyNumberFormat="1" applyFont="1" applyFill="1" applyBorder="1" applyAlignment="1">
      <alignment horizontal="center"/>
    </xf>
    <xf numFmtId="16" fontId="18" fillId="3" borderId="5" xfId="0" applyNumberFormat="1" applyFont="1" applyFill="1" applyBorder="1" applyAlignment="1">
      <alignment horizontal="center"/>
    </xf>
    <xf numFmtId="16" fontId="18" fillId="3" borderId="6" xfId="0" applyNumberFormat="1" applyFont="1" applyFill="1" applyBorder="1" applyAlignment="1">
      <alignment horizontal="center"/>
    </xf>
    <xf numFmtId="0" fontId="15" fillId="0" borderId="16" xfId="0" applyFont="1" applyFill="1" applyBorder="1" applyAlignment="1">
      <alignment vertical="center"/>
    </xf>
    <xf numFmtId="16" fontId="18" fillId="3" borderId="18" xfId="0" applyNumberFormat="1" applyFont="1" applyFill="1" applyBorder="1" applyAlignment="1">
      <alignment horizontal="center"/>
    </xf>
    <xf numFmtId="0" fontId="1" fillId="2" borderId="0" xfId="0" applyFont="1" applyFill="1" applyAlignment="1">
      <alignment horizontal="center"/>
    </xf>
    <xf numFmtId="3" fontId="12" fillId="0" borderId="24" xfId="0" applyNumberFormat="1" applyFont="1" applyFill="1" applyBorder="1" applyAlignment="1">
      <alignment horizontal="center" vertical="center" wrapText="1" readingOrder="1"/>
    </xf>
    <xf numFmtId="3" fontId="26" fillId="3" borderId="9" xfId="0" applyNumberFormat="1" applyFont="1" applyFill="1" applyBorder="1" applyAlignment="1">
      <alignment horizontal="center" vertical="center" wrapText="1" readingOrder="1"/>
    </xf>
    <xf numFmtId="166" fontId="26" fillId="5" borderId="25" xfId="0" applyNumberFormat="1" applyFont="1" applyFill="1" applyBorder="1" applyAlignment="1">
      <alignment horizontal="center" vertical="center" wrapText="1" readingOrder="1"/>
    </xf>
    <xf numFmtId="166" fontId="12" fillId="2" borderId="24" xfId="0" applyNumberFormat="1" applyFont="1" applyFill="1" applyBorder="1" applyAlignment="1">
      <alignment horizontal="center" vertical="center" wrapText="1" readingOrder="1"/>
    </xf>
    <xf numFmtId="166" fontId="12" fillId="0" borderId="9" xfId="1" applyNumberFormat="1" applyFont="1" applyFill="1" applyBorder="1" applyAlignment="1">
      <alignment horizontal="center" vertical="center" wrapText="1"/>
    </xf>
    <xf numFmtId="0" fontId="16" fillId="3" borderId="19" xfId="0" applyFont="1" applyFill="1" applyBorder="1" applyAlignment="1">
      <alignment vertical="center"/>
    </xf>
    <xf numFmtId="0" fontId="16" fillId="3" borderId="19" xfId="0" applyFont="1" applyFill="1" applyBorder="1"/>
    <xf numFmtId="0" fontId="16" fillId="3" borderId="5" xfId="0" applyFont="1" applyFill="1" applyBorder="1" applyAlignment="1">
      <alignment horizontal="center"/>
    </xf>
    <xf numFmtId="0" fontId="16" fillId="3" borderId="6" xfId="0" applyFont="1" applyFill="1" applyBorder="1" applyAlignment="1">
      <alignment horizontal="center"/>
    </xf>
    <xf numFmtId="1" fontId="17"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1" fillId="2" borderId="9" xfId="0" applyNumberFormat="1" applyFont="1" applyFill="1" applyBorder="1" applyAlignment="1">
      <alignment horizontal="center" wrapText="1"/>
    </xf>
    <xf numFmtId="3" fontId="32" fillId="2" borderId="9" xfId="0" applyNumberFormat="1" applyFont="1" applyFill="1" applyBorder="1" applyAlignment="1">
      <alignment horizontal="center" wrapText="1"/>
    </xf>
    <xf numFmtId="3" fontId="32" fillId="2" borderId="9"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0" fontId="16" fillId="3" borderId="19" xfId="0" applyFont="1" applyFill="1" applyBorder="1" applyAlignment="1">
      <alignment horizontal="left" vertical="center"/>
    </xf>
    <xf numFmtId="3" fontId="32" fillId="2" borderId="3" xfId="0" applyNumberFormat="1" applyFont="1" applyFill="1" applyBorder="1" applyAlignment="1">
      <alignment horizontal="center" wrapText="1"/>
    </xf>
    <xf numFmtId="164" fontId="32" fillId="2" borderId="12" xfId="0" applyNumberFormat="1" applyFont="1" applyFill="1" applyBorder="1" applyAlignment="1">
      <alignment horizontal="center" wrapText="1"/>
    </xf>
    <xf numFmtId="0" fontId="15" fillId="0" borderId="16" xfId="0" applyFont="1" applyFill="1" applyBorder="1" applyAlignment="1">
      <alignment horizontal="left" vertical="center" wrapText="1"/>
    </xf>
    <xf numFmtId="0" fontId="15" fillId="0" borderId="4" xfId="0" applyFont="1" applyFill="1" applyBorder="1" applyAlignment="1">
      <alignment horizontal="left" vertical="center" wrapText="1"/>
    </xf>
    <xf numFmtId="3" fontId="33" fillId="5" borderId="10" xfId="0" applyNumberFormat="1" applyFont="1" applyFill="1" applyBorder="1" applyAlignment="1">
      <alignment horizontal="center" wrapText="1"/>
    </xf>
    <xf numFmtId="164" fontId="33" fillId="5" borderId="2" xfId="0" applyNumberFormat="1" applyFont="1" applyFill="1" applyBorder="1" applyAlignment="1">
      <alignment horizontal="center" wrapText="1"/>
    </xf>
    <xf numFmtId="3" fontId="15" fillId="0" borderId="11" xfId="0" applyNumberFormat="1" applyFont="1" applyFill="1" applyBorder="1" applyAlignment="1">
      <alignment horizontal="center" vertical="center"/>
    </xf>
    <xf numFmtId="3" fontId="15" fillId="0" borderId="9"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3" fontId="24" fillId="0" borderId="0" xfId="0" applyNumberFormat="1" applyFont="1" applyFill="1" applyAlignment="1">
      <alignment horizontal="center"/>
    </xf>
    <xf numFmtId="3" fontId="15" fillId="0" borderId="11" xfId="0" applyNumberFormat="1" applyFont="1" applyFill="1" applyBorder="1" applyAlignment="1">
      <alignment horizontal="center"/>
    </xf>
    <xf numFmtId="3" fontId="15" fillId="0" borderId="9" xfId="0" applyNumberFormat="1" applyFont="1" applyFill="1" applyBorder="1" applyAlignment="1">
      <alignment horizontal="center"/>
    </xf>
    <xf numFmtId="3" fontId="18" fillId="0" borderId="9" xfId="0" applyNumberFormat="1" applyFont="1" applyFill="1" applyBorder="1" applyAlignment="1">
      <alignment horizontal="center"/>
    </xf>
    <xf numFmtId="3" fontId="18" fillId="0" borderId="10" xfId="0" applyNumberFormat="1" applyFont="1" applyFill="1" applyBorder="1" applyAlignment="1">
      <alignment horizontal="center"/>
    </xf>
    <xf numFmtId="3" fontId="2" fillId="0" borderId="0" xfId="0" applyNumberFormat="1" applyFont="1" applyFill="1" applyAlignment="1">
      <alignment horizontal="center"/>
    </xf>
    <xf numFmtId="3" fontId="15" fillId="0" borderId="9" xfId="0" applyNumberFormat="1"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18" fillId="5" borderId="31" xfId="0" applyFont="1" applyFill="1" applyBorder="1"/>
    <xf numFmtId="3" fontId="18" fillId="5" borderId="32" xfId="0" applyNumberFormat="1" applyFont="1" applyFill="1" applyBorder="1" applyAlignment="1">
      <alignment horizontal="center" vertical="center" wrapText="1" readingOrder="1"/>
    </xf>
    <xf numFmtId="0" fontId="24" fillId="0" borderId="8" xfId="0" applyFont="1" applyBorder="1" applyAlignment="1">
      <alignment horizontal="center"/>
    </xf>
    <xf numFmtId="0" fontId="24" fillId="0" borderId="34" xfId="0" applyFont="1" applyBorder="1" applyAlignment="1">
      <alignment horizontal="center"/>
    </xf>
    <xf numFmtId="0" fontId="15" fillId="2" borderId="35" xfId="0" applyFont="1" applyFill="1" applyBorder="1"/>
    <xf numFmtId="0" fontId="18"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49" fontId="21" fillId="0" borderId="22" xfId="0" applyNumberFormat="1" applyFont="1" applyBorder="1" applyAlignment="1">
      <alignment horizontal="right"/>
    </xf>
    <xf numFmtId="0" fontId="0" fillId="0" borderId="38" xfId="0" applyBorder="1" applyAlignment="1">
      <alignment vertical="center" wrapText="1"/>
    </xf>
    <xf numFmtId="166" fontId="33" fillId="3" borderId="9" xfId="0" applyNumberFormat="1" applyFont="1" applyFill="1" applyBorder="1" applyAlignment="1">
      <alignment horizontal="center" vertical="center" wrapText="1" readingOrder="1"/>
    </xf>
    <xf numFmtId="164" fontId="33" fillId="3" borderId="1" xfId="0" applyNumberFormat="1" applyFont="1" applyFill="1" applyBorder="1" applyAlignment="1">
      <alignment horizontal="center" vertical="center" wrapText="1"/>
    </xf>
    <xf numFmtId="166" fontId="32" fillId="0" borderId="9" xfId="0" applyNumberFormat="1" applyFont="1" applyFill="1" applyBorder="1" applyAlignment="1">
      <alignment horizontal="center" vertical="center" wrapText="1" readingOrder="1"/>
    </xf>
    <xf numFmtId="164" fontId="32"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xf>
    <xf numFmtId="3" fontId="15" fillId="0" borderId="21" xfId="0" applyNumberFormat="1" applyFont="1" applyBorder="1" applyAlignment="1">
      <alignment horizontal="center"/>
    </xf>
    <xf numFmtId="3" fontId="27" fillId="0" borderId="9" xfId="0" applyNumberFormat="1" applyFont="1" applyFill="1" applyBorder="1" applyAlignment="1">
      <alignment horizontal="center" vertical="center" wrapText="1"/>
    </xf>
    <xf numFmtId="164" fontId="27" fillId="0" borderId="7" xfId="0" applyNumberFormat="1" applyFont="1" applyFill="1" applyBorder="1" applyAlignment="1">
      <alignment horizontal="center" vertical="center" wrapText="1"/>
    </xf>
    <xf numFmtId="49" fontId="15" fillId="0" borderId="7" xfId="0" applyNumberFormat="1" applyFont="1" applyFill="1" applyBorder="1" applyAlignment="1">
      <alignment horizontal="left" vertical="center"/>
    </xf>
    <xf numFmtId="49" fontId="15"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20" fillId="0" borderId="20" xfId="0" applyNumberFormat="1" applyFont="1" applyFill="1" applyBorder="1" applyAlignment="1">
      <alignment horizontal="left" vertical="center" wrapText="1"/>
    </xf>
    <xf numFmtId="3" fontId="12" fillId="0" borderId="0" xfId="0" applyNumberFormat="1" applyFont="1" applyFill="1" applyBorder="1" applyAlignment="1">
      <alignment horizontal="center" vertical="center" wrapText="1" readingOrder="1"/>
    </xf>
    <xf numFmtId="3" fontId="12" fillId="0" borderId="39" xfId="0" applyNumberFormat="1" applyFont="1" applyFill="1" applyBorder="1" applyAlignment="1">
      <alignment horizontal="center" vertical="center" wrapText="1" readingOrder="1"/>
    </xf>
    <xf numFmtId="0" fontId="18" fillId="3" borderId="23" xfId="0" applyFont="1" applyFill="1" applyBorder="1"/>
    <xf numFmtId="164" fontId="12" fillId="2" borderId="35" xfId="0" applyNumberFormat="1" applyFont="1" applyFill="1" applyBorder="1" applyAlignment="1">
      <alignment horizontal="center" vertical="center" wrapText="1"/>
    </xf>
    <xf numFmtId="0" fontId="0" fillId="0" borderId="40" xfId="0" applyBorder="1"/>
    <xf numFmtId="3" fontId="33" fillId="3" borderId="9" xfId="0" applyNumberFormat="1" applyFont="1" applyFill="1" applyBorder="1" applyAlignment="1">
      <alignment horizontal="center" vertical="center" wrapText="1"/>
    </xf>
    <xf numFmtId="3" fontId="33" fillId="5" borderId="29" xfId="0" applyNumberFormat="1" applyFont="1" applyFill="1" applyBorder="1" applyAlignment="1">
      <alignment horizontal="center" vertical="center" wrapText="1"/>
    </xf>
    <xf numFmtId="164" fontId="33" fillId="5" borderId="30" xfId="0" applyNumberFormat="1" applyFont="1" applyFill="1" applyBorder="1" applyAlignment="1">
      <alignment horizontal="center" vertical="center" wrapText="1"/>
    </xf>
    <xf numFmtId="3" fontId="31" fillId="2" borderId="9" xfId="0" applyNumberFormat="1" applyFont="1" applyFill="1" applyBorder="1" applyAlignment="1">
      <alignment horizontal="center" vertical="center" wrapText="1"/>
    </xf>
    <xf numFmtId="166" fontId="32" fillId="0" borderId="10" xfId="0" applyNumberFormat="1" applyFont="1" applyFill="1" applyBorder="1" applyAlignment="1">
      <alignment horizontal="center" vertical="center" wrapText="1" readingOrder="1"/>
    </xf>
    <xf numFmtId="164" fontId="32" fillId="2" borderId="2" xfId="0" applyNumberFormat="1" applyFont="1" applyFill="1" applyBorder="1" applyAlignment="1">
      <alignment horizontal="center" vertical="center" wrapText="1"/>
    </xf>
    <xf numFmtId="164" fontId="31" fillId="0" borderId="9" xfId="0" applyNumberFormat="1" applyFont="1" applyBorder="1" applyAlignment="1">
      <alignment horizontal="center" vertical="center" wrapText="1" readingOrder="1"/>
    </xf>
    <xf numFmtId="3" fontId="15" fillId="0" borderId="37" xfId="0" applyNumberFormat="1" applyFont="1" applyBorder="1" applyAlignment="1">
      <alignment horizontal="center"/>
    </xf>
    <xf numFmtId="3" fontId="15" fillId="0" borderId="36" xfId="0" applyNumberFormat="1" applyFont="1" applyBorder="1" applyAlignment="1">
      <alignment horizontal="center"/>
    </xf>
    <xf numFmtId="166" fontId="27" fillId="3" borderId="9" xfId="0" applyNumberFormat="1" applyFont="1" applyFill="1" applyBorder="1" applyAlignment="1">
      <alignment horizontal="center" vertical="center" wrapText="1" readingOrder="1"/>
    </xf>
    <xf numFmtId="164" fontId="27" fillId="3" borderId="1" xfId="0" applyNumberFormat="1" applyFont="1" applyFill="1" applyBorder="1" applyAlignment="1">
      <alignment horizontal="center" vertical="center" wrapText="1"/>
    </xf>
    <xf numFmtId="3" fontId="27" fillId="2" borderId="3" xfId="0" applyNumberFormat="1" applyFont="1" applyFill="1" applyBorder="1" applyAlignment="1">
      <alignment horizontal="center" vertical="center" wrapText="1"/>
    </xf>
    <xf numFmtId="164" fontId="27" fillId="2" borderId="12" xfId="0" applyNumberFormat="1" applyFont="1" applyFill="1" applyBorder="1" applyAlignment="1">
      <alignment horizontal="center" vertical="center" wrapText="1"/>
    </xf>
    <xf numFmtId="49" fontId="0" fillId="0" borderId="43" xfId="0" applyNumberFormat="1" applyBorder="1"/>
    <xf numFmtId="3" fontId="33" fillId="2" borderId="9" xfId="0" applyNumberFormat="1" applyFont="1" applyFill="1" applyBorder="1" applyAlignment="1">
      <alignment horizontal="center" wrapText="1"/>
    </xf>
    <xf numFmtId="164" fontId="33" fillId="2" borderId="1" xfId="0" applyNumberFormat="1" applyFont="1" applyFill="1" applyBorder="1" applyAlignment="1">
      <alignment horizontal="center" vertical="center" wrapText="1"/>
    </xf>
    <xf numFmtId="0" fontId="0" fillId="0" borderId="0" xfId="0" applyAlignment="1">
      <alignment vertical="top" wrapText="1"/>
    </xf>
    <xf numFmtId="3" fontId="33" fillId="0" borderId="9" xfId="0" applyNumberFormat="1" applyFont="1" applyFill="1" applyBorder="1" applyAlignment="1">
      <alignment horizontal="center" vertical="center" wrapText="1"/>
    </xf>
    <xf numFmtId="0" fontId="18" fillId="3" borderId="0" xfId="0" applyFont="1" applyFill="1"/>
    <xf numFmtId="1" fontId="12" fillId="0" borderId="25" xfId="0" applyNumberFormat="1" applyFont="1" applyFill="1" applyBorder="1" applyAlignment="1">
      <alignment horizontal="center" vertical="center" wrapText="1" readingOrder="1"/>
    </xf>
    <xf numFmtId="1" fontId="18" fillId="3" borderId="44" xfId="0" applyNumberFormat="1" applyFont="1" applyFill="1" applyBorder="1" applyAlignment="1">
      <alignment horizontal="center"/>
    </xf>
    <xf numFmtId="1" fontId="18" fillId="3" borderId="37" xfId="0"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2" borderId="11" xfId="0" applyNumberFormat="1" applyFont="1" applyFill="1" applyBorder="1" applyAlignment="1">
      <alignment horizontal="center" wrapText="1"/>
    </xf>
    <xf numFmtId="3" fontId="32" fillId="0" borderId="9" xfId="0" applyNumberFormat="1" applyFont="1" applyFill="1" applyBorder="1" applyAlignment="1">
      <alignment horizontal="center" wrapText="1"/>
    </xf>
    <xf numFmtId="164" fontId="32" fillId="0" borderId="1" xfId="0" applyNumberFormat="1" applyFont="1" applyFill="1" applyBorder="1" applyAlignment="1">
      <alignment horizontal="center" wrapText="1"/>
    </xf>
    <xf numFmtId="49" fontId="4" fillId="0" borderId="42"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3" borderId="17" xfId="0" applyFont="1" applyFill="1" applyBorder="1" applyAlignment="1"/>
    <xf numFmtId="0" fontId="1" fillId="3" borderId="5" xfId="0" applyFont="1" applyFill="1" applyBorder="1" applyAlignment="1"/>
    <xf numFmtId="14" fontId="29" fillId="0" borderId="0" xfId="0" applyNumberFormat="1" applyFont="1" applyAlignment="1">
      <alignment horizontal="left"/>
    </xf>
    <xf numFmtId="0" fontId="30" fillId="0" borderId="0" xfId="0" applyFont="1" applyAlignment="1">
      <alignment horizontal="left"/>
    </xf>
    <xf numFmtId="0" fontId="22" fillId="0" borderId="4" xfId="0" applyFont="1" applyBorder="1" applyAlignment="1">
      <alignment wrapText="1"/>
    </xf>
    <xf numFmtId="0" fontId="22"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2" fillId="0" borderId="13" xfId="0" applyFont="1" applyBorder="1" applyAlignment="1">
      <alignment wrapText="1"/>
    </xf>
    <xf numFmtId="0" fontId="22"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2" fillId="0" borderId="4" xfId="0" applyFont="1" applyBorder="1" applyAlignment="1"/>
    <xf numFmtId="0" fontId="22" fillId="0" borderId="9" xfId="0" applyFont="1" applyBorder="1" applyAlignment="1"/>
    <xf numFmtId="0" fontId="22" fillId="0" borderId="16" xfId="0" applyFont="1" applyBorder="1" applyAlignment="1"/>
    <xf numFmtId="0" fontId="22" fillId="0" borderId="11" xfId="0" applyFont="1" applyBorder="1" applyAlignment="1"/>
    <xf numFmtId="0" fontId="28" fillId="0" borderId="0" xfId="0" applyFont="1" applyFill="1" applyBorder="1" applyAlignment="1">
      <alignment vertical="center" wrapText="1"/>
    </xf>
    <xf numFmtId="0" fontId="2" fillId="0" borderId="0" xfId="0" applyFont="1" applyFill="1" applyBorder="1" applyAlignment="1">
      <alignment wrapText="1"/>
    </xf>
    <xf numFmtId="0" fontId="4" fillId="0" borderId="45" xfId="0" applyFont="1" applyBorder="1" applyAlignment="1">
      <alignment vertical="top" wrapText="1"/>
    </xf>
    <xf numFmtId="0" fontId="4" fillId="0" borderId="0" xfId="0" applyFont="1" applyAlignment="1">
      <alignment vertical="top" wrapText="1"/>
    </xf>
    <xf numFmtId="3" fontId="15" fillId="0" borderId="0" xfId="0" applyNumberFormat="1" applyFont="1" applyAlignment="1">
      <alignment horizontal="center"/>
    </xf>
    <xf numFmtId="3" fontId="18" fillId="0" borderId="10" xfId="0" applyNumberFormat="1" applyFont="1" applyBorder="1" applyAlignment="1">
      <alignment horizontal="center"/>
    </xf>
    <xf numFmtId="3" fontId="27" fillId="2" borderId="14" xfId="0" applyNumberFormat="1" applyFont="1" applyFill="1" applyBorder="1" applyAlignment="1">
      <alignment horizontal="center" vertical="center" wrapText="1"/>
    </xf>
    <xf numFmtId="164" fontId="27" fillId="2" borderId="15" xfId="0" applyNumberFormat="1" applyFont="1" applyFill="1" applyBorder="1" applyAlignment="1">
      <alignment horizontal="center" vertical="center" wrapText="1"/>
    </xf>
    <xf numFmtId="3" fontId="27" fillId="2" borderId="9" xfId="0" applyNumberFormat="1" applyFont="1" applyFill="1" applyBorder="1" applyAlignment="1">
      <alignment horizontal="center" wrapText="1"/>
    </xf>
    <xf numFmtId="164" fontId="27" fillId="2" borderId="1" xfId="0" applyNumberFormat="1" applyFont="1" applyFill="1" applyBorder="1" applyAlignment="1">
      <alignment horizontal="center" wrapText="1"/>
    </xf>
    <xf numFmtId="3" fontId="31" fillId="0" borderId="9" xfId="0" applyNumberFormat="1" applyFont="1" applyFill="1" applyBorder="1" applyAlignment="1">
      <alignment horizontal="center" wrapText="1"/>
    </xf>
    <xf numFmtId="164" fontId="31" fillId="0" borderId="1" xfId="0" applyNumberFormat="1" applyFont="1" applyFill="1" applyBorder="1" applyAlignment="1">
      <alignment horizontal="center" wrapText="1"/>
    </xf>
    <xf numFmtId="3" fontId="27" fillId="3" borderId="9" xfId="0" applyNumberFormat="1" applyFont="1" applyFill="1" applyBorder="1" applyAlignment="1">
      <alignment horizontal="center" wrapText="1"/>
    </xf>
    <xf numFmtId="164" fontId="27" fillId="3" borderId="1"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I25" sqref="I25"/>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54</v>
      </c>
      <c r="B1" s="187" t="s">
        <v>33</v>
      </c>
      <c r="C1" s="188"/>
      <c r="D1" s="188"/>
      <c r="E1" s="6"/>
      <c r="F1" s="14"/>
      <c r="G1" s="165">
        <v>43297</v>
      </c>
      <c r="H1" s="166"/>
      <c r="I1" s="166"/>
      <c r="J1" s="166"/>
      <c r="K1" s="166"/>
      <c r="L1" s="166"/>
    </row>
    <row r="2" spans="1:12" s="3" customFormat="1" ht="16.5" customHeight="1" thickBot="1" x14ac:dyDescent="0.3">
      <c r="A2" s="189" t="s">
        <v>4</v>
      </c>
      <c r="B2" s="190"/>
      <c r="C2" s="190"/>
      <c r="D2" s="63"/>
      <c r="E2" s="63"/>
      <c r="F2" s="15"/>
      <c r="G2" s="191" t="s">
        <v>5</v>
      </c>
      <c r="H2" s="190"/>
      <c r="I2" s="190"/>
      <c r="J2" s="190"/>
      <c r="K2" s="74"/>
      <c r="L2" s="75"/>
    </row>
    <row r="3" spans="1:12" s="1" customFormat="1" ht="15.75" thickBot="1" x14ac:dyDescent="0.3">
      <c r="A3" s="57" t="s">
        <v>2</v>
      </c>
      <c r="B3" s="58" t="s">
        <v>75</v>
      </c>
      <c r="C3" s="58" t="s">
        <v>76</v>
      </c>
      <c r="D3" s="62" t="s">
        <v>0</v>
      </c>
      <c r="E3" s="60" t="s">
        <v>1</v>
      </c>
      <c r="F3" s="50"/>
      <c r="G3" s="57" t="s">
        <v>2</v>
      </c>
      <c r="H3" s="58" t="s">
        <v>75</v>
      </c>
      <c r="I3" s="58" t="s">
        <v>76</v>
      </c>
      <c r="J3" s="59" t="s">
        <v>0</v>
      </c>
      <c r="K3" s="60" t="s">
        <v>1</v>
      </c>
      <c r="L3" s="22" t="s">
        <v>37</v>
      </c>
    </row>
    <row r="4" spans="1:12" ht="15" x14ac:dyDescent="0.25">
      <c r="A4" s="61" t="s">
        <v>20</v>
      </c>
      <c r="B4" s="64">
        <v>2020</v>
      </c>
      <c r="C4" s="64">
        <v>10031</v>
      </c>
      <c r="D4" s="155">
        <f t="shared" ref="D4:D23" si="0">C4-B4</f>
        <v>8011</v>
      </c>
      <c r="E4" s="156">
        <f t="shared" ref="E4:E21" si="1">D4/B4</f>
        <v>3.965841584158416</v>
      </c>
      <c r="F4" s="23"/>
      <c r="G4" s="56" t="s">
        <v>20</v>
      </c>
      <c r="H4" s="55">
        <v>180</v>
      </c>
      <c r="I4" s="55">
        <v>583</v>
      </c>
      <c r="J4" s="157">
        <f>I4-H4</f>
        <v>403</v>
      </c>
      <c r="K4" s="87">
        <f>J4/H4</f>
        <v>2.2388888888888889</v>
      </c>
      <c r="L4" s="123" t="s">
        <v>83</v>
      </c>
    </row>
    <row r="5" spans="1:12" ht="15" x14ac:dyDescent="0.25">
      <c r="A5" s="24" t="s">
        <v>21</v>
      </c>
      <c r="B5" s="64">
        <v>8241</v>
      </c>
      <c r="C5" s="64">
        <v>7898</v>
      </c>
      <c r="D5" s="136">
        <f t="shared" si="0"/>
        <v>-343</v>
      </c>
      <c r="E5" s="83">
        <f t="shared" si="1"/>
        <v>-4.1621162480281519E-2</v>
      </c>
      <c r="F5" s="23"/>
      <c r="G5" s="18" t="s">
        <v>21</v>
      </c>
      <c r="H5" s="55">
        <v>816</v>
      </c>
      <c r="I5" s="55">
        <v>783</v>
      </c>
      <c r="J5" s="76">
        <f t="shared" ref="J5:J27" si="2">I5-H5</f>
        <v>-33</v>
      </c>
      <c r="K5" s="79">
        <f t="shared" ref="K5:K27" si="3">J5/H5</f>
        <v>-4.0441176470588237E-2</v>
      </c>
      <c r="L5" s="123" t="s">
        <v>84</v>
      </c>
    </row>
    <row r="6" spans="1:12" ht="15" x14ac:dyDescent="0.25">
      <c r="A6" s="24" t="s">
        <v>25</v>
      </c>
      <c r="B6" s="64">
        <f>10611+16706</f>
        <v>27317</v>
      </c>
      <c r="C6" s="64">
        <f>10831+15872</f>
        <v>26703</v>
      </c>
      <c r="D6" s="136">
        <f t="shared" si="0"/>
        <v>-614</v>
      </c>
      <c r="E6" s="83">
        <f t="shared" si="1"/>
        <v>-2.2476845920123001E-2</v>
      </c>
      <c r="F6" s="23"/>
      <c r="G6" s="18" t="s">
        <v>25</v>
      </c>
      <c r="H6" s="55">
        <v>2557</v>
      </c>
      <c r="I6" s="55">
        <v>2544</v>
      </c>
      <c r="J6" s="76">
        <f t="shared" si="2"/>
        <v>-13</v>
      </c>
      <c r="K6" s="79">
        <f t="shared" si="3"/>
        <v>-5.0840829096597574E-3</v>
      </c>
      <c r="L6" s="124" t="s">
        <v>81</v>
      </c>
    </row>
    <row r="7" spans="1:12" ht="15.75" customHeight="1" x14ac:dyDescent="0.25">
      <c r="A7" s="24" t="s">
        <v>51</v>
      </c>
      <c r="B7" s="64">
        <f>5381+15263</f>
        <v>20644</v>
      </c>
      <c r="C7" s="64">
        <f>6643+13887</f>
        <v>20530</v>
      </c>
      <c r="D7" s="136">
        <f t="shared" si="0"/>
        <v>-114</v>
      </c>
      <c r="E7" s="83">
        <f t="shared" si="1"/>
        <v>-5.5221856229412903E-3</v>
      </c>
      <c r="F7" s="23"/>
      <c r="G7" s="24" t="s">
        <v>51</v>
      </c>
      <c r="H7" s="55">
        <f>863+574</f>
        <v>1437</v>
      </c>
      <c r="I7" s="55">
        <f>385+650+421+4</f>
        <v>1460</v>
      </c>
      <c r="J7" s="158">
        <f t="shared" si="2"/>
        <v>23</v>
      </c>
      <c r="K7" s="159">
        <f t="shared" si="3"/>
        <v>1.6005567153792623E-2</v>
      </c>
      <c r="L7" s="124" t="s">
        <v>94</v>
      </c>
    </row>
    <row r="8" spans="1:12" ht="15" x14ac:dyDescent="0.25">
      <c r="A8" s="24" t="s">
        <v>36</v>
      </c>
      <c r="B8" s="64">
        <v>8265</v>
      </c>
      <c r="C8" s="64">
        <v>8318</v>
      </c>
      <c r="D8" s="78">
        <f t="shared" si="0"/>
        <v>53</v>
      </c>
      <c r="E8" s="81">
        <f t="shared" si="1"/>
        <v>6.4125831820931638E-3</v>
      </c>
      <c r="F8" s="23"/>
      <c r="G8" s="18" t="s">
        <v>36</v>
      </c>
      <c r="H8" s="55">
        <v>595</v>
      </c>
      <c r="I8" s="55">
        <v>591</v>
      </c>
      <c r="J8" s="76">
        <f t="shared" si="2"/>
        <v>-4</v>
      </c>
      <c r="K8" s="79">
        <f t="shared" si="3"/>
        <v>-6.7226890756302525E-3</v>
      </c>
      <c r="L8" s="124" t="s">
        <v>78</v>
      </c>
    </row>
    <row r="9" spans="1:12" ht="15" x14ac:dyDescent="0.25">
      <c r="A9" s="24" t="s">
        <v>48</v>
      </c>
      <c r="B9" s="64">
        <v>11138</v>
      </c>
      <c r="C9" s="64">
        <v>11319</v>
      </c>
      <c r="D9" s="78">
        <f t="shared" si="0"/>
        <v>181</v>
      </c>
      <c r="E9" s="81">
        <f t="shared" si="1"/>
        <v>1.6250673370443527E-2</v>
      </c>
      <c r="F9" s="23"/>
      <c r="G9" s="24" t="s">
        <v>48</v>
      </c>
      <c r="H9" s="55">
        <v>1039</v>
      </c>
      <c r="I9" s="55">
        <v>1125</v>
      </c>
      <c r="J9" s="77">
        <f t="shared" si="2"/>
        <v>86</v>
      </c>
      <c r="K9" s="80">
        <f t="shared" si="3"/>
        <v>8.2771896053897981E-2</v>
      </c>
      <c r="L9" s="124" t="s">
        <v>85</v>
      </c>
    </row>
    <row r="10" spans="1:12" ht="15" x14ac:dyDescent="0.25">
      <c r="A10" s="24" t="s">
        <v>43</v>
      </c>
      <c r="B10" s="64">
        <v>21757</v>
      </c>
      <c r="C10" s="64">
        <v>20496</v>
      </c>
      <c r="D10" s="136">
        <f t="shared" si="0"/>
        <v>-1261</v>
      </c>
      <c r="E10" s="83">
        <f t="shared" si="1"/>
        <v>-5.7958358229535323E-2</v>
      </c>
      <c r="F10" s="23"/>
      <c r="G10" s="18" t="s">
        <v>43</v>
      </c>
      <c r="H10" s="55">
        <v>1299</v>
      </c>
      <c r="I10" s="55">
        <v>1226</v>
      </c>
      <c r="J10" s="76">
        <f t="shared" si="2"/>
        <v>-73</v>
      </c>
      <c r="K10" s="79">
        <f t="shared" si="3"/>
        <v>-5.6197074672825253E-2</v>
      </c>
      <c r="L10" s="124" t="s">
        <v>79</v>
      </c>
    </row>
    <row r="11" spans="1:12" ht="14.25" customHeight="1" x14ac:dyDescent="0.25">
      <c r="A11" s="24" t="s">
        <v>34</v>
      </c>
      <c r="B11" s="64">
        <v>7522</v>
      </c>
      <c r="C11" s="64">
        <v>10916</v>
      </c>
      <c r="D11" s="78">
        <f t="shared" si="0"/>
        <v>3394</v>
      </c>
      <c r="E11" s="81">
        <f t="shared" si="1"/>
        <v>0.45120978463174688</v>
      </c>
      <c r="F11" s="23"/>
      <c r="G11" s="18" t="s">
        <v>34</v>
      </c>
      <c r="H11" s="55">
        <v>610</v>
      </c>
      <c r="I11" s="55">
        <v>816</v>
      </c>
      <c r="J11" s="77">
        <f t="shared" si="2"/>
        <v>206</v>
      </c>
      <c r="K11" s="80">
        <f t="shared" si="3"/>
        <v>0.3377049180327869</v>
      </c>
      <c r="L11" s="124" t="s">
        <v>82</v>
      </c>
    </row>
    <row r="12" spans="1:12" ht="15" x14ac:dyDescent="0.25">
      <c r="A12" s="24" t="s">
        <v>49</v>
      </c>
      <c r="B12" s="64">
        <v>42164</v>
      </c>
      <c r="C12" s="64">
        <v>39342</v>
      </c>
      <c r="D12" s="136">
        <f t="shared" si="0"/>
        <v>-2822</v>
      </c>
      <c r="E12" s="83">
        <f t="shared" si="1"/>
        <v>-6.6929133858267723E-2</v>
      </c>
      <c r="F12" s="23"/>
      <c r="G12" s="18" t="s">
        <v>49</v>
      </c>
      <c r="H12" s="55">
        <f>1613+28+3+4</f>
        <v>1648</v>
      </c>
      <c r="I12" s="55">
        <f>1445+30+2+3</f>
        <v>1480</v>
      </c>
      <c r="J12" s="209">
        <f t="shared" si="2"/>
        <v>-168</v>
      </c>
      <c r="K12" s="210">
        <f t="shared" si="3"/>
        <v>-0.10194174757281553</v>
      </c>
      <c r="L12" s="124" t="s">
        <v>86</v>
      </c>
    </row>
    <row r="13" spans="1:12" ht="15" customHeight="1" x14ac:dyDescent="0.25">
      <c r="A13" s="24" t="s">
        <v>39</v>
      </c>
      <c r="B13" s="64">
        <v>28872</v>
      </c>
      <c r="C13" s="64">
        <v>22470</v>
      </c>
      <c r="D13" s="136">
        <f t="shared" si="0"/>
        <v>-6402</v>
      </c>
      <c r="E13" s="83">
        <f t="shared" si="1"/>
        <v>-0.22173732335827098</v>
      </c>
      <c r="F13" s="23"/>
      <c r="G13" s="18" t="s">
        <v>39</v>
      </c>
      <c r="H13" s="55">
        <f>1687+2+3+13+2+1</f>
        <v>1708</v>
      </c>
      <c r="I13" s="55">
        <f>1360+1+10+8</f>
        <v>1379</v>
      </c>
      <c r="J13" s="209">
        <f t="shared" si="2"/>
        <v>-329</v>
      </c>
      <c r="K13" s="210">
        <f t="shared" si="3"/>
        <v>-0.19262295081967212</v>
      </c>
      <c r="L13" s="125" t="s">
        <v>93</v>
      </c>
    </row>
    <row r="14" spans="1:12" ht="14.25" customHeight="1" x14ac:dyDescent="0.25">
      <c r="A14" s="24" t="s">
        <v>22</v>
      </c>
      <c r="B14" s="64">
        <v>10565</v>
      </c>
      <c r="C14" s="64">
        <v>11377</v>
      </c>
      <c r="D14" s="78">
        <f t="shared" si="0"/>
        <v>812</v>
      </c>
      <c r="E14" s="81">
        <f t="shared" si="1"/>
        <v>7.6857548509228588E-2</v>
      </c>
      <c r="F14" s="23"/>
      <c r="G14" s="18" t="s">
        <v>22</v>
      </c>
      <c r="H14" s="55">
        <v>1032</v>
      </c>
      <c r="I14" s="55">
        <v>1112</v>
      </c>
      <c r="J14" s="77">
        <f t="shared" si="2"/>
        <v>80</v>
      </c>
      <c r="K14" s="80">
        <f t="shared" si="3"/>
        <v>7.7519379844961239E-2</v>
      </c>
      <c r="L14" s="125" t="s">
        <v>87</v>
      </c>
    </row>
    <row r="15" spans="1:12" ht="15" x14ac:dyDescent="0.25">
      <c r="A15" s="24" t="s">
        <v>41</v>
      </c>
      <c r="B15" s="64">
        <v>1029</v>
      </c>
      <c r="C15" s="64">
        <v>993</v>
      </c>
      <c r="D15" s="136">
        <f t="shared" si="0"/>
        <v>-36</v>
      </c>
      <c r="E15" s="83">
        <f t="shared" si="1"/>
        <v>-3.4985422740524783E-2</v>
      </c>
      <c r="F15" s="23"/>
      <c r="G15" s="25" t="s">
        <v>41</v>
      </c>
      <c r="H15" s="55">
        <v>148</v>
      </c>
      <c r="I15" s="55">
        <v>176</v>
      </c>
      <c r="J15" s="77">
        <f t="shared" si="2"/>
        <v>28</v>
      </c>
      <c r="K15" s="80">
        <f t="shared" si="3"/>
        <v>0.1891891891891892</v>
      </c>
      <c r="L15" s="124" t="s">
        <v>88</v>
      </c>
    </row>
    <row r="16" spans="1:12" ht="16.5" customHeight="1" x14ac:dyDescent="0.25">
      <c r="A16" s="24" t="s">
        <v>3</v>
      </c>
      <c r="B16" s="64">
        <v>8430</v>
      </c>
      <c r="C16" s="64">
        <v>8561</v>
      </c>
      <c r="D16" s="78">
        <f t="shared" si="0"/>
        <v>131</v>
      </c>
      <c r="E16" s="81">
        <f t="shared" si="1"/>
        <v>1.5539739027283511E-2</v>
      </c>
      <c r="F16" s="23"/>
      <c r="G16" s="18" t="s">
        <v>3</v>
      </c>
      <c r="H16" s="55">
        <v>868</v>
      </c>
      <c r="I16" s="55">
        <v>833</v>
      </c>
      <c r="J16" s="76">
        <f t="shared" si="2"/>
        <v>-35</v>
      </c>
      <c r="K16" s="79">
        <f t="shared" si="3"/>
        <v>-4.0322580645161289E-2</v>
      </c>
      <c r="L16" s="124" t="s">
        <v>80</v>
      </c>
    </row>
    <row r="17" spans="1:12" ht="15" x14ac:dyDescent="0.25">
      <c r="A17" s="18" t="s">
        <v>38</v>
      </c>
      <c r="B17" s="64">
        <v>5359</v>
      </c>
      <c r="C17" s="64">
        <v>6073</v>
      </c>
      <c r="D17" s="78">
        <f t="shared" si="0"/>
        <v>714</v>
      </c>
      <c r="E17" s="81">
        <f t="shared" si="1"/>
        <v>0.13323381227841016</v>
      </c>
      <c r="F17" s="23"/>
      <c r="G17" s="18" t="s">
        <v>38</v>
      </c>
      <c r="H17" s="55">
        <v>374</v>
      </c>
      <c r="I17" s="55">
        <v>456</v>
      </c>
      <c r="J17" s="77">
        <f t="shared" si="2"/>
        <v>82</v>
      </c>
      <c r="K17" s="80">
        <f t="shared" si="3"/>
        <v>0.21925133689839571</v>
      </c>
      <c r="L17" s="124" t="s">
        <v>77</v>
      </c>
    </row>
    <row r="18" spans="1:12" ht="15" x14ac:dyDescent="0.25">
      <c r="A18" s="24" t="s">
        <v>23</v>
      </c>
      <c r="B18" s="64">
        <v>60674</v>
      </c>
      <c r="C18" s="64">
        <v>61308</v>
      </c>
      <c r="D18" s="78">
        <f t="shared" si="0"/>
        <v>634</v>
      </c>
      <c r="E18" s="81">
        <f t="shared" si="1"/>
        <v>1.0449286350001648E-2</v>
      </c>
      <c r="F18" s="23"/>
      <c r="G18" s="18" t="s">
        <v>23</v>
      </c>
      <c r="H18" s="55">
        <v>2441</v>
      </c>
      <c r="I18" s="55">
        <v>2515</v>
      </c>
      <c r="J18" s="77">
        <f t="shared" si="2"/>
        <v>74</v>
      </c>
      <c r="K18" s="80">
        <f t="shared" si="3"/>
        <v>3.031544448996313E-2</v>
      </c>
      <c r="L18" s="124" t="s">
        <v>89</v>
      </c>
    </row>
    <row r="19" spans="1:12" ht="15.75" customHeight="1" x14ac:dyDescent="0.25">
      <c r="A19" s="24" t="s">
        <v>42</v>
      </c>
      <c r="B19" s="64">
        <f>133+7006</f>
        <v>7139</v>
      </c>
      <c r="C19" s="64">
        <f>133+7220</f>
        <v>7353</v>
      </c>
      <c r="D19" s="78">
        <f t="shared" si="0"/>
        <v>214</v>
      </c>
      <c r="E19" s="81">
        <f t="shared" si="1"/>
        <v>2.9976187141056172E-2</v>
      </c>
      <c r="F19" s="23"/>
      <c r="G19" s="18" t="s">
        <v>42</v>
      </c>
      <c r="H19" s="55">
        <v>694</v>
      </c>
      <c r="I19" s="55">
        <v>736</v>
      </c>
      <c r="J19" s="77">
        <f t="shared" si="2"/>
        <v>42</v>
      </c>
      <c r="K19" s="80">
        <f t="shared" si="3"/>
        <v>6.0518731988472622E-2</v>
      </c>
      <c r="L19" s="124" t="s">
        <v>90</v>
      </c>
    </row>
    <row r="20" spans="1:12" ht="17.25" x14ac:dyDescent="0.25">
      <c r="A20" s="24" t="s">
        <v>45</v>
      </c>
      <c r="B20" s="64">
        <v>0</v>
      </c>
      <c r="C20" s="64">
        <v>1</v>
      </c>
      <c r="D20" s="78">
        <f t="shared" si="0"/>
        <v>1</v>
      </c>
      <c r="E20" s="81" t="s">
        <v>47</v>
      </c>
      <c r="F20" s="23"/>
      <c r="G20" s="18" t="s">
        <v>50</v>
      </c>
      <c r="H20" s="55">
        <v>100</v>
      </c>
      <c r="I20" s="55">
        <v>107</v>
      </c>
      <c r="J20" s="158">
        <f t="shared" si="2"/>
        <v>7</v>
      </c>
      <c r="K20" s="159">
        <f t="shared" si="3"/>
        <v>7.0000000000000007E-2</v>
      </c>
      <c r="L20" s="124" t="s">
        <v>92</v>
      </c>
    </row>
    <row r="21" spans="1:12" ht="15" customHeight="1" x14ac:dyDescent="0.25">
      <c r="A21" s="24" t="s">
        <v>7</v>
      </c>
      <c r="B21" s="64">
        <v>26</v>
      </c>
      <c r="C21" s="64">
        <v>38</v>
      </c>
      <c r="D21" s="78">
        <f>C21-B21</f>
        <v>12</v>
      </c>
      <c r="E21" s="81">
        <f t="shared" si="1"/>
        <v>0.46153846153846156</v>
      </c>
      <c r="F21" s="23"/>
      <c r="G21" s="18" t="s">
        <v>24</v>
      </c>
      <c r="H21" s="55">
        <v>4221</v>
      </c>
      <c r="I21" s="55">
        <v>3825</v>
      </c>
      <c r="J21" s="136">
        <f t="shared" si="2"/>
        <v>-396</v>
      </c>
      <c r="K21" s="83">
        <f t="shared" si="3"/>
        <v>-9.3816631130063971E-2</v>
      </c>
      <c r="L21" s="126" t="s">
        <v>91</v>
      </c>
    </row>
    <row r="22" spans="1:12" ht="15" customHeight="1" x14ac:dyDescent="0.25">
      <c r="A22" s="38" t="s">
        <v>24</v>
      </c>
      <c r="B22" s="64">
        <v>3416</v>
      </c>
      <c r="C22" s="64">
        <v>3006</v>
      </c>
      <c r="D22" s="136">
        <f>C22-B22</f>
        <v>-410</v>
      </c>
      <c r="E22" s="83">
        <f t="shared" ref="E22" si="4">D22/B22</f>
        <v>-0.12002341920374707</v>
      </c>
      <c r="F22" s="109"/>
      <c r="G22" s="132"/>
      <c r="H22" s="55"/>
      <c r="I22" s="55"/>
      <c r="J22" s="76"/>
      <c r="K22" s="79"/>
      <c r="L22" s="127"/>
    </row>
    <row r="23" spans="1:12" ht="15" customHeight="1" x14ac:dyDescent="0.25">
      <c r="A23" s="38" t="s">
        <v>71</v>
      </c>
      <c r="B23" s="128">
        <v>18</v>
      </c>
      <c r="C23" s="129">
        <v>157</v>
      </c>
      <c r="D23" s="78">
        <f t="shared" si="0"/>
        <v>139</v>
      </c>
      <c r="E23" s="81" t="s">
        <v>47</v>
      </c>
      <c r="F23" s="109"/>
      <c r="H23" s="55"/>
      <c r="I23" s="55"/>
      <c r="J23" s="76"/>
      <c r="K23" s="79"/>
      <c r="L23" s="127"/>
    </row>
    <row r="24" spans="1:12" ht="17.25" customHeight="1" x14ac:dyDescent="0.25">
      <c r="A24" s="39" t="s">
        <v>32</v>
      </c>
      <c r="B24" s="65">
        <f>SUM(B4:B23)</f>
        <v>274596</v>
      </c>
      <c r="C24" s="65">
        <f>SUM(C4:C23)</f>
        <v>276890</v>
      </c>
      <c r="D24" s="133">
        <f>C24-B24</f>
        <v>2294</v>
      </c>
      <c r="E24" s="116">
        <f>D24/B24</f>
        <v>8.3540911011085375E-3</v>
      </c>
      <c r="F24" s="131"/>
      <c r="G24" s="130" t="s">
        <v>52</v>
      </c>
      <c r="H24" s="54">
        <f>SUM(H4:H22)</f>
        <v>21767</v>
      </c>
      <c r="I24" s="54">
        <f>SUM(I4:I22)+1</f>
        <v>21748</v>
      </c>
      <c r="J24" s="211">
        <f>I24-H24</f>
        <v>-19</v>
      </c>
      <c r="K24" s="212">
        <f>J24/H24</f>
        <v>-8.7288096660081776E-4</v>
      </c>
      <c r="L24" s="73"/>
    </row>
    <row r="25" spans="1:12" ht="14.25" customHeight="1" x14ac:dyDescent="0.25">
      <c r="A25" s="36" t="s">
        <v>15</v>
      </c>
      <c r="B25" s="119">
        <v>13490</v>
      </c>
      <c r="C25" s="120">
        <v>13458</v>
      </c>
      <c r="D25" s="121">
        <f t="shared" ref="D25" si="5">C25-B25</f>
        <v>-32</v>
      </c>
      <c r="E25" s="122">
        <f t="shared" ref="E25" si="6">D25/B25</f>
        <v>-2.3721275018532247E-3</v>
      </c>
      <c r="F25" s="26"/>
      <c r="G25" s="36" t="s">
        <v>15</v>
      </c>
      <c r="H25" s="67">
        <v>1128</v>
      </c>
      <c r="I25" s="67">
        <v>1118</v>
      </c>
      <c r="J25" s="207">
        <f>I25-H25</f>
        <v>-10</v>
      </c>
      <c r="K25" s="208">
        <f>J25/H25</f>
        <v>-8.8652482269503553E-3</v>
      </c>
      <c r="L25" s="21"/>
    </row>
    <row r="26" spans="1:12" ht="15" x14ac:dyDescent="0.25">
      <c r="A26" s="110" t="s">
        <v>55</v>
      </c>
      <c r="B26" s="49">
        <v>0</v>
      </c>
      <c r="C26" s="49">
        <v>2612</v>
      </c>
      <c r="D26" s="150">
        <f t="shared" ref="D26:D27" si="7">C26-B26</f>
        <v>2612</v>
      </c>
      <c r="E26" s="148" t="s">
        <v>47</v>
      </c>
      <c r="F26" s="109"/>
      <c r="G26" s="110" t="s">
        <v>55</v>
      </c>
      <c r="H26" s="140">
        <v>0</v>
      </c>
      <c r="I26" s="141">
        <v>180</v>
      </c>
      <c r="J26" s="147">
        <f>I26-H26</f>
        <v>180</v>
      </c>
      <c r="K26" s="148" t="s">
        <v>47</v>
      </c>
      <c r="L26" s="35"/>
    </row>
    <row r="27" spans="1:12" ht="18" customHeight="1" thickBot="1" x14ac:dyDescent="0.3">
      <c r="A27" s="105" t="s">
        <v>46</v>
      </c>
      <c r="B27" s="106">
        <f>SUM(B24:B26)</f>
        <v>288086</v>
      </c>
      <c r="C27" s="106">
        <f>SUM(C24:C26)</f>
        <v>292960</v>
      </c>
      <c r="D27" s="134">
        <f t="shared" si="7"/>
        <v>4874</v>
      </c>
      <c r="E27" s="135">
        <f t="shared" ref="E27" si="8">D27/B27</f>
        <v>1.6918559041397361E-2</v>
      </c>
      <c r="F27" s="27"/>
      <c r="G27" s="37" t="s">
        <v>46</v>
      </c>
      <c r="H27" s="66">
        <f>SUM(H24:H26)</f>
        <v>22895</v>
      </c>
      <c r="I27" s="66">
        <f>SUM(I24:I26)</f>
        <v>23046</v>
      </c>
      <c r="J27" s="90">
        <f t="shared" si="2"/>
        <v>151</v>
      </c>
      <c r="K27" s="91">
        <f t="shared" si="3"/>
        <v>6.5953264905001096E-3</v>
      </c>
      <c r="L27" s="179" t="s">
        <v>53</v>
      </c>
    </row>
    <row r="28" spans="1:12" ht="14.25" customHeight="1" thickTop="1" x14ac:dyDescent="0.2">
      <c r="A28" s="199"/>
      <c r="B28" s="200"/>
      <c r="C28" s="200"/>
      <c r="D28" s="200"/>
      <c r="E28" s="200"/>
      <c r="F28" s="28"/>
      <c r="G28" s="169"/>
      <c r="H28" s="170"/>
      <c r="I28" s="170"/>
      <c r="J28" s="170"/>
      <c r="K28" s="170"/>
      <c r="L28" s="180"/>
    </row>
    <row r="29" spans="1:12" s="13" customFormat="1" ht="13.5" customHeight="1" x14ac:dyDescent="0.2">
      <c r="A29" s="192" t="s">
        <v>10</v>
      </c>
      <c r="B29" s="193"/>
      <c r="C29" s="193"/>
      <c r="D29" s="193"/>
      <c r="E29" s="193"/>
      <c r="F29" s="17"/>
      <c r="G29" s="171"/>
      <c r="H29" s="171"/>
      <c r="I29" s="171"/>
      <c r="J29" s="171"/>
      <c r="K29" s="171"/>
      <c r="L29" s="181"/>
    </row>
    <row r="30" spans="1:12" ht="10.5" customHeight="1" thickBot="1" x14ac:dyDescent="0.25">
      <c r="A30" s="192"/>
      <c r="B30" s="194"/>
      <c r="C30" s="194"/>
      <c r="D30" s="194"/>
      <c r="E30" s="194"/>
      <c r="F30" s="17"/>
      <c r="G30" s="171"/>
      <c r="H30" s="171"/>
      <c r="I30" s="171"/>
      <c r="J30" s="171"/>
      <c r="K30" s="171"/>
      <c r="L30" s="182" t="s">
        <v>56</v>
      </c>
    </row>
    <row r="31" spans="1:12" s="13" customFormat="1" ht="13.5" customHeight="1" thickBot="1" x14ac:dyDescent="0.25">
      <c r="A31" s="85" t="s">
        <v>69</v>
      </c>
      <c r="B31" s="19">
        <v>2017</v>
      </c>
      <c r="C31" s="19">
        <v>2018</v>
      </c>
      <c r="D31" s="103" t="s">
        <v>0</v>
      </c>
      <c r="E31" s="104" t="s">
        <v>1</v>
      </c>
      <c r="F31" s="28"/>
      <c r="G31" s="69" t="s">
        <v>67</v>
      </c>
      <c r="H31" s="19">
        <v>2017</v>
      </c>
      <c r="I31" s="19">
        <v>2018</v>
      </c>
      <c r="J31" s="19" t="s">
        <v>0</v>
      </c>
      <c r="K31" s="20" t="s">
        <v>1</v>
      </c>
      <c r="L31" s="183"/>
    </row>
    <row r="32" spans="1:12" ht="17.25" customHeight="1" x14ac:dyDescent="0.25">
      <c r="A32" s="88" t="s">
        <v>27</v>
      </c>
      <c r="B32" s="102">
        <f>3232+102</f>
        <v>3334</v>
      </c>
      <c r="C32" s="68">
        <f>2864+100</f>
        <v>2964</v>
      </c>
      <c r="D32" s="84">
        <f>C32-B32</f>
        <v>-370</v>
      </c>
      <c r="E32" s="139">
        <f>D32/B32</f>
        <v>-0.11097780443911218</v>
      </c>
      <c r="F32" s="29"/>
      <c r="G32" s="51" t="s">
        <v>8</v>
      </c>
      <c r="H32" s="92">
        <f>2954+3349+3373+5213+97</f>
        <v>14986</v>
      </c>
      <c r="I32" s="92">
        <f>2588+3154+3385+5128+94</f>
        <v>14349</v>
      </c>
      <c r="J32" s="136">
        <f>I32-H32</f>
        <v>-637</v>
      </c>
      <c r="K32" s="82">
        <f>J32/H32</f>
        <v>-4.2506339249966635E-2</v>
      </c>
      <c r="L32" s="183"/>
    </row>
    <row r="33" spans="1:12" s="3" customFormat="1" ht="16.5" customHeight="1" thickBot="1" x14ac:dyDescent="0.3">
      <c r="A33" s="89" t="s">
        <v>6</v>
      </c>
      <c r="B33" s="102">
        <v>3591</v>
      </c>
      <c r="C33" s="68">
        <v>3413</v>
      </c>
      <c r="D33" s="84">
        <f t="shared" ref="D33:D35" si="9">C33-B33</f>
        <v>-178</v>
      </c>
      <c r="E33" s="139">
        <f t="shared" ref="E33:E35" si="10">D33/B33</f>
        <v>-4.9568365357839039E-2</v>
      </c>
      <c r="F33" s="29"/>
      <c r="G33" s="24" t="s">
        <v>9</v>
      </c>
      <c r="H33" s="203">
        <f>22+61462+55544+47003+38488</f>
        <v>202519</v>
      </c>
      <c r="I33" s="93">
        <f>28+56385+54697+46527+38274</f>
        <v>195911</v>
      </c>
      <c r="J33" s="136">
        <f>I33-H33</f>
        <v>-6608</v>
      </c>
      <c r="K33" s="82">
        <f>J33/H39</f>
        <v>-0.48520449372200603</v>
      </c>
      <c r="L33" s="184"/>
    </row>
    <row r="34" spans="1:12" ht="15" customHeight="1" x14ac:dyDescent="0.25">
      <c r="A34" s="89" t="s">
        <v>28</v>
      </c>
      <c r="B34" s="102">
        <v>3587</v>
      </c>
      <c r="C34" s="68">
        <v>3659</v>
      </c>
      <c r="D34" s="117">
        <f t="shared" si="9"/>
        <v>72</v>
      </c>
      <c r="E34" s="118">
        <f t="shared" si="10"/>
        <v>2.0072483969891274E-2</v>
      </c>
      <c r="F34" s="29"/>
      <c r="G34" s="52" t="s">
        <v>11</v>
      </c>
      <c r="H34" s="94">
        <f>H32+106+299+2001+148+1656+123+111</f>
        <v>19430</v>
      </c>
      <c r="I34" s="94">
        <f>I32+94+256+2152+141+1807+151+143</f>
        <v>19093</v>
      </c>
      <c r="J34" s="144">
        <f>I34-H34</f>
        <v>-337</v>
      </c>
      <c r="K34" s="145">
        <f>J34/H34</f>
        <v>-1.7344312918167782E-2</v>
      </c>
      <c r="L34" s="160" t="s">
        <v>57</v>
      </c>
    </row>
    <row r="35" spans="1:12" ht="15.75" customHeight="1" thickBot="1" x14ac:dyDescent="0.3">
      <c r="A35" s="89" t="s">
        <v>29</v>
      </c>
      <c r="B35" s="102">
        <v>5504</v>
      </c>
      <c r="C35" s="68">
        <v>5486</v>
      </c>
      <c r="D35" s="84">
        <f t="shared" si="9"/>
        <v>-18</v>
      </c>
      <c r="E35" s="139">
        <f t="shared" si="10"/>
        <v>-3.2703488372093025E-3</v>
      </c>
      <c r="F35" s="29"/>
      <c r="G35" s="53" t="s">
        <v>12</v>
      </c>
      <c r="H35" s="204">
        <f>H33+12969+13621+12002+5566+293</f>
        <v>246970</v>
      </c>
      <c r="I35" s="95">
        <f>I33+17287+10878+13676+6141+321</f>
        <v>244214</v>
      </c>
      <c r="J35" s="205">
        <f>I35-H35</f>
        <v>-2756</v>
      </c>
      <c r="K35" s="206">
        <f>J35/H41</f>
        <v>-9.9761094621009197E-2</v>
      </c>
      <c r="L35" s="161"/>
    </row>
    <row r="36" spans="1:12" ht="15.75" thickBot="1" x14ac:dyDescent="0.3">
      <c r="A36" s="47" t="s">
        <v>35</v>
      </c>
      <c r="B36" s="54">
        <f>SUM(B32:B35)</f>
        <v>16016</v>
      </c>
      <c r="C36" s="54">
        <f>SUM(C32:C35)</f>
        <v>15522</v>
      </c>
      <c r="D36" s="142">
        <f t="shared" ref="D36:D38" si="11">C36-B36</f>
        <v>-494</v>
      </c>
      <c r="E36" s="143">
        <f t="shared" ref="E36:E38" si="12">D36/B36</f>
        <v>-3.0844155844155844E-2</v>
      </c>
      <c r="F36" s="29"/>
      <c r="G36" s="45"/>
      <c r="H36" s="96"/>
      <c r="I36" s="101"/>
      <c r="J36" s="108"/>
      <c r="K36" s="107"/>
      <c r="L36" s="162"/>
    </row>
    <row r="37" spans="1:12" ht="16.5" customHeight="1" thickBot="1" x14ac:dyDescent="0.3">
      <c r="A37" s="46" t="s">
        <v>31</v>
      </c>
      <c r="B37" s="55">
        <f>106+314</f>
        <v>420</v>
      </c>
      <c r="C37" s="55">
        <f>94+270</f>
        <v>364</v>
      </c>
      <c r="D37" s="84">
        <f t="shared" si="11"/>
        <v>-56</v>
      </c>
      <c r="E37" s="83">
        <f t="shared" si="12"/>
        <v>-0.13333333333333333</v>
      </c>
      <c r="F37" s="29"/>
      <c r="G37" s="70" t="s">
        <v>68</v>
      </c>
      <c r="H37" s="19">
        <v>2017</v>
      </c>
      <c r="I37" s="19">
        <v>2018</v>
      </c>
      <c r="J37" s="71" t="s">
        <v>0</v>
      </c>
      <c r="K37" s="72" t="s">
        <v>1</v>
      </c>
      <c r="L37" s="112" t="s">
        <v>66</v>
      </c>
    </row>
    <row r="38" spans="1:12" ht="15" customHeight="1" x14ac:dyDescent="0.25">
      <c r="A38" s="47" t="s">
        <v>7</v>
      </c>
      <c r="B38" s="54">
        <f>2686+176</f>
        <v>2862</v>
      </c>
      <c r="C38" s="54">
        <f>2820+175</f>
        <v>2995</v>
      </c>
      <c r="D38" s="115">
        <f t="shared" si="11"/>
        <v>133</v>
      </c>
      <c r="E38" s="116">
        <f t="shared" si="12"/>
        <v>4.6470999301187983E-2</v>
      </c>
      <c r="F38" s="29"/>
      <c r="G38" s="42" t="s">
        <v>8</v>
      </c>
      <c r="H38" s="97">
        <f>278+242+214+291+5</f>
        <v>1030</v>
      </c>
      <c r="I38" s="97">
        <f>276+259+274+358+6</f>
        <v>1173</v>
      </c>
      <c r="J38" s="86">
        <f>I38-H38</f>
        <v>143</v>
      </c>
      <c r="K38" s="87">
        <f>J38/H38</f>
        <v>0.13883495145631067</v>
      </c>
      <c r="L38" s="185"/>
    </row>
    <row r="39" spans="1:12" ht="14.25" customHeight="1" x14ac:dyDescent="0.25">
      <c r="A39" s="151" t="s">
        <v>72</v>
      </c>
      <c r="B39" s="54">
        <v>2061</v>
      </c>
      <c r="C39" s="54">
        <v>2393</v>
      </c>
      <c r="D39" s="115">
        <f>C39-B39</f>
        <v>332</v>
      </c>
      <c r="E39" s="116">
        <f>D39/B39</f>
        <v>0.16108685104318293</v>
      </c>
      <c r="F39" s="17"/>
      <c r="G39" s="18" t="s">
        <v>9</v>
      </c>
      <c r="H39" s="93">
        <f>1+4425+3995+3010+2188</f>
        <v>13619</v>
      </c>
      <c r="I39" s="98">
        <f>3+4820+4784+4038+2219</f>
        <v>15864</v>
      </c>
      <c r="J39" s="86">
        <f>I39-H39</f>
        <v>2245</v>
      </c>
      <c r="K39" s="87">
        <f t="shared" ref="K39:K41" si="13">J39/H39</f>
        <v>0.1648432337176004</v>
      </c>
      <c r="L39" s="186"/>
    </row>
    <row r="40" spans="1:12" ht="16.5" customHeight="1" x14ac:dyDescent="0.25">
      <c r="A40" s="47" t="s">
        <v>73</v>
      </c>
      <c r="B40" s="153">
        <v>273</v>
      </c>
      <c r="C40" s="154">
        <v>313</v>
      </c>
      <c r="D40" s="115">
        <f>C40-B40</f>
        <v>40</v>
      </c>
      <c r="E40" s="116">
        <f>D40/B40</f>
        <v>0.14652014652014653</v>
      </c>
      <c r="F40" s="17"/>
      <c r="G40" s="43" t="s">
        <v>13</v>
      </c>
      <c r="H40" s="99">
        <f>H38+15+685+28+405+150+24</f>
        <v>2337</v>
      </c>
      <c r="I40" s="99">
        <f>I38+14+668+34+586+162+18</f>
        <v>2655</v>
      </c>
      <c r="J40" s="40">
        <f>I40-H40</f>
        <v>318</v>
      </c>
      <c r="K40" s="87">
        <f t="shared" si="13"/>
        <v>0.13607188703465983</v>
      </c>
      <c r="L40" s="186"/>
    </row>
    <row r="41" spans="1:12" ht="15.75" customHeight="1" thickBot="1" x14ac:dyDescent="0.3">
      <c r="A41" s="48" t="s">
        <v>30</v>
      </c>
      <c r="B41" s="152">
        <v>135</v>
      </c>
      <c r="C41" s="152">
        <v>161</v>
      </c>
      <c r="D41" s="137">
        <f>C41-B41</f>
        <v>26</v>
      </c>
      <c r="E41" s="138">
        <f>D41/B41</f>
        <v>0.19259259259259259</v>
      </c>
      <c r="F41" s="17"/>
      <c r="G41" s="44" t="s">
        <v>14</v>
      </c>
      <c r="H41" s="95">
        <f>H39+4800+2904+3778+1556+969</f>
        <v>27626</v>
      </c>
      <c r="I41" s="100">
        <f>I39+6334+3014+4840+2078+547</f>
        <v>32677</v>
      </c>
      <c r="J41" s="41">
        <f>I41-H41</f>
        <v>5051</v>
      </c>
      <c r="K41" s="87">
        <f t="shared" si="13"/>
        <v>0.18283501049735756</v>
      </c>
      <c r="L41" s="114"/>
    </row>
    <row r="42" spans="1:12" ht="12" customHeight="1" thickBot="1" x14ac:dyDescent="0.25">
      <c r="A42" s="201" t="s">
        <v>70</v>
      </c>
      <c r="B42" s="201"/>
      <c r="C42" s="201"/>
      <c r="D42" s="201"/>
      <c r="E42" s="201"/>
      <c r="F42" s="17"/>
      <c r="G42" s="5"/>
      <c r="H42" s="9"/>
      <c r="I42" s="9"/>
      <c r="L42" s="146"/>
    </row>
    <row r="43" spans="1:12" ht="13.5" customHeight="1" thickBot="1" x14ac:dyDescent="0.25">
      <c r="A43" s="202"/>
      <c r="B43" s="202"/>
      <c r="C43" s="202"/>
      <c r="D43" s="202"/>
      <c r="E43" s="202"/>
      <c r="F43" s="17"/>
      <c r="G43" s="163" t="s">
        <v>26</v>
      </c>
      <c r="H43" s="164"/>
      <c r="I43" s="164"/>
      <c r="J43" s="19">
        <v>2017</v>
      </c>
      <c r="K43" s="19">
        <v>2018</v>
      </c>
      <c r="L43" s="172"/>
    </row>
    <row r="44" spans="1:12" ht="12.75" customHeight="1" x14ac:dyDescent="0.25">
      <c r="A44" s="202"/>
      <c r="B44" s="202"/>
      <c r="C44" s="202"/>
      <c r="D44" s="202"/>
      <c r="E44" s="202"/>
      <c r="F44" s="30"/>
      <c r="G44" s="197" t="s">
        <v>19</v>
      </c>
      <c r="H44" s="198"/>
      <c r="I44" s="198"/>
      <c r="J44" s="33">
        <f>H38/H24</f>
        <v>4.7319336610465383E-2</v>
      </c>
      <c r="K44" s="34">
        <f>I38/I24</f>
        <v>5.3935994114401323E-2</v>
      </c>
      <c r="L44" s="173"/>
    </row>
    <row r="45" spans="1:12" ht="12.75" customHeight="1" x14ac:dyDescent="0.25">
      <c r="A45" s="202"/>
      <c r="B45" s="202"/>
      <c r="C45" s="202"/>
      <c r="D45" s="202"/>
      <c r="E45" s="202"/>
      <c r="F45" s="30"/>
      <c r="G45" s="195" t="s">
        <v>16</v>
      </c>
      <c r="H45" s="196"/>
      <c r="I45" s="196"/>
      <c r="J45" s="33">
        <f>H39/B24</f>
        <v>4.9596498128159187E-2</v>
      </c>
      <c r="K45" s="11">
        <f>I39/C24</f>
        <v>5.7293510058145834E-2</v>
      </c>
      <c r="L45" s="174"/>
    </row>
    <row r="46" spans="1:12" ht="12" customHeight="1" x14ac:dyDescent="0.25">
      <c r="A46" s="202"/>
      <c r="B46" s="202"/>
      <c r="C46" s="202"/>
      <c r="D46" s="202"/>
      <c r="E46" s="202"/>
      <c r="F46" s="31"/>
      <c r="G46" s="167" t="s">
        <v>17</v>
      </c>
      <c r="H46" s="168"/>
      <c r="I46" s="168"/>
      <c r="J46" s="33">
        <f>H40/H24</f>
        <v>0.10736435889190059</v>
      </c>
      <c r="K46" s="11">
        <f>I40/I24</f>
        <v>0.12208019128195696</v>
      </c>
      <c r="L46" s="175" t="s">
        <v>44</v>
      </c>
    </row>
    <row r="47" spans="1:12" ht="3.75" hidden="1" customHeight="1" x14ac:dyDescent="0.25">
      <c r="A47" s="149"/>
      <c r="B47" s="149"/>
      <c r="C47" s="149"/>
      <c r="D47" s="149"/>
      <c r="E47" s="149"/>
      <c r="F47" s="31"/>
      <c r="G47" s="167" t="s">
        <v>18</v>
      </c>
      <c r="H47" s="168"/>
      <c r="I47" s="168"/>
      <c r="J47" s="33">
        <f t="shared" ref="J45:J48" si="14">H41/H27</f>
        <v>1.2066390041493775</v>
      </c>
      <c r="K47" s="11">
        <f>I41/C24</f>
        <v>0.11801437393910939</v>
      </c>
      <c r="L47" s="176"/>
    </row>
    <row r="48" spans="1:12" ht="15" customHeight="1" thickBot="1" x14ac:dyDescent="0.3">
      <c r="A48" s="32" t="s">
        <v>40</v>
      </c>
      <c r="F48" s="17"/>
      <c r="G48" s="177" t="s">
        <v>18</v>
      </c>
      <c r="H48" s="178"/>
      <c r="I48" s="178"/>
      <c r="J48" s="33">
        <f>H41/B24</f>
        <v>0.10060598115049017</v>
      </c>
      <c r="K48" s="12">
        <f>I41/C24</f>
        <v>0.11801437393910939</v>
      </c>
      <c r="L48" s="176"/>
    </row>
    <row r="49" spans="12:12" x14ac:dyDescent="0.2">
      <c r="L49" s="113" t="s">
        <v>74</v>
      </c>
    </row>
  </sheetData>
  <mergeCells count="21">
    <mergeCell ref="A42:E46"/>
    <mergeCell ref="B1:D1"/>
    <mergeCell ref="A2:C2"/>
    <mergeCell ref="G2:J2"/>
    <mergeCell ref="A29:E29"/>
    <mergeCell ref="A30:E30"/>
    <mergeCell ref="A28:E28"/>
    <mergeCell ref="L34:L36"/>
    <mergeCell ref="G43:I43"/>
    <mergeCell ref="G1:L1"/>
    <mergeCell ref="G46:I46"/>
    <mergeCell ref="G28:K30"/>
    <mergeCell ref="L43:L45"/>
    <mergeCell ref="L46:L48"/>
    <mergeCell ref="G48:I48"/>
    <mergeCell ref="L27:L29"/>
    <mergeCell ref="L30:L33"/>
    <mergeCell ref="L38:L40"/>
    <mergeCell ref="G45:I45"/>
    <mergeCell ref="G44:I44"/>
    <mergeCell ref="G47:I47"/>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5" t="s">
        <v>62</v>
      </c>
      <c r="C2" s="45" t="s">
        <v>63</v>
      </c>
      <c r="E2" s="45" t="s">
        <v>64</v>
      </c>
      <c r="F2" s="45" t="s">
        <v>65</v>
      </c>
    </row>
    <row r="3" spans="1:6" x14ac:dyDescent="0.2">
      <c r="A3" t="s">
        <v>58</v>
      </c>
      <c r="B3" s="111">
        <f>IF(SUM('Sheet 1'!B4:B23)='Sheet 1'!B24,0,1)</f>
        <v>0</v>
      </c>
      <c r="C3" s="111">
        <f>IF(SUM('Sheet 1'!C4:C23)='Sheet 1'!C24,0,1)</f>
        <v>0</v>
      </c>
      <c r="D3" s="111"/>
      <c r="E3" s="111">
        <f>IF(SUM('Sheet 1'!H4:H22)='Sheet 1'!H24,0,1)</f>
        <v>0</v>
      </c>
      <c r="F3" s="111">
        <f>IF(SUM('Sheet 1'!I4:I22)='Sheet 1'!I24,0,1)</f>
        <v>1</v>
      </c>
    </row>
    <row r="4" spans="1:6" x14ac:dyDescent="0.2">
      <c r="A4" t="s">
        <v>59</v>
      </c>
      <c r="B4" s="111">
        <f>IF((SUM('Sheet 1'!B$24:B$26))=('Sheet 1'!B$27),0,1)</f>
        <v>0</v>
      </c>
      <c r="C4" s="111">
        <f>IF((SUM('Sheet 1'!C$24:C$26))=('Sheet 1'!C$27),0,1)</f>
        <v>0</v>
      </c>
      <c r="D4" s="111"/>
      <c r="E4" s="111">
        <f>IF((SUM('Sheet 1'!H$24:H$26))=('Sheet 1'!H$27),0,1)</f>
        <v>0</v>
      </c>
      <c r="F4" s="111">
        <f>IF((SUM('Sheet 1'!I$24:I$26))=('Sheet 1'!I$27),0,1)</f>
        <v>0</v>
      </c>
    </row>
    <row r="5" spans="1:6" x14ac:dyDescent="0.2">
      <c r="B5" s="111"/>
      <c r="C5" s="111"/>
      <c r="D5" s="111"/>
      <c r="E5" s="111"/>
      <c r="F5" s="111"/>
    </row>
    <row r="6" spans="1:6" x14ac:dyDescent="0.2">
      <c r="A6" t="s">
        <v>60</v>
      </c>
      <c r="B6" s="111"/>
      <c r="C6" s="111"/>
      <c r="D6" s="111"/>
      <c r="E6" s="111">
        <f>IF(SUM('Sheet 1'!B36:B41)='Sheet 1'!H24,0,1)</f>
        <v>0</v>
      </c>
      <c r="F6" s="111">
        <f>IF(SUM('Sheet 1'!C36:C41)='Sheet 1'!I24,0,1)</f>
        <v>0</v>
      </c>
    </row>
    <row r="7" spans="1:6" x14ac:dyDescent="0.2">
      <c r="B7" s="111"/>
      <c r="C7" s="111"/>
      <c r="D7" s="111"/>
      <c r="E7" s="111"/>
      <c r="F7" s="111"/>
    </row>
    <row r="8" spans="1:6" x14ac:dyDescent="0.2">
      <c r="A8" t="s">
        <v>61</v>
      </c>
      <c r="B8" s="111">
        <f>IF(SUM('Sheet 1'!H35,'Sheet 1'!H41)='Sheet 1'!B24,0,1)</f>
        <v>0</v>
      </c>
      <c r="C8" s="111">
        <f>IF(SUM('Sheet 1'!I35,'Sheet 1'!I41)='Sheet 1'!C24,0,1)</f>
        <v>1</v>
      </c>
      <c r="D8" s="111"/>
      <c r="E8" s="111">
        <f>IF(SUM('Sheet 1'!H34,'Sheet 1'!H40)='Sheet 1'!H24,0,1)</f>
        <v>0</v>
      </c>
      <c r="F8" s="111">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2018-07-16T16:12:03Z</dcterms:modified>
</cp:coreProperties>
</file>